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ワンストップ (2)" sheetId="3" r:id="rId1"/>
  </sheets>
  <definedNames>
    <definedName name="_xlnm.Print_Area" localSheetId="0">'ワンストップ (2)'!$A$1:$F$88</definedName>
  </definedNames>
  <calcPr calcId="144525"/>
</workbook>
</file>

<file path=xl/sharedStrings.xml><?xml version="1.0" encoding="utf-8"?>
<sst xmlns="http://schemas.openxmlformats.org/spreadsheetml/2006/main" count="98">
  <si>
    <t>総所得額の算定</t>
  </si>
  <si>
    <t>ケース１</t>
  </si>
  <si>
    <t>ケース２</t>
  </si>
  <si>
    <t>ケース３</t>
  </si>
  <si>
    <t>備考</t>
  </si>
  <si>
    <t>給与所得控除額（660万円以上の時使用）</t>
  </si>
  <si>
    <t>所得</t>
  </si>
  <si>
    <t>給与収入</t>
  </si>
  <si>
    <t>給与所得控除額</t>
  </si>
  <si>
    <t>総所得金額</t>
  </si>
  <si>
    <t>収入660万以下は手入力</t>
  </si>
  <si>
    <t>所得税法別表第五で確認</t>
  </si>
  <si>
    <t>所得税額の算定</t>
  </si>
  <si>
    <t>令和１年</t>
  </si>
  <si>
    <t>令和２年予測</t>
  </si>
  <si>
    <t>令和３年予想</t>
  </si>
  <si>
    <t>【所得税】給与所得控除額</t>
  </si>
  <si>
    <t>所得控除</t>
  </si>
  <si>
    <t>社会保険料</t>
  </si>
  <si>
    <t>想定で入力しています</t>
  </si>
  <si>
    <t>生命保険料（所得税）</t>
  </si>
  <si>
    <t>MAX　12万</t>
  </si>
  <si>
    <t>配偶者</t>
  </si>
  <si>
    <t>MAX　38万</t>
  </si>
  <si>
    <t>扶養</t>
  </si>
  <si>
    <t>16歳以上の子が対象</t>
  </si>
  <si>
    <t>基礎控除（所得税）</t>
  </si>
  <si>
    <t>一律　48万</t>
  </si>
  <si>
    <t>イデコ</t>
  </si>
  <si>
    <t>所得控除合計</t>
  </si>
  <si>
    <t>課税所得金額</t>
  </si>
  <si>
    <t>【住民税】住宅ローン住民税控除（課税標準額×7%)</t>
  </si>
  <si>
    <t>所得税額</t>
  </si>
  <si>
    <t>所得税率</t>
  </si>
  <si>
    <t>ＭＡＸ⇒</t>
  </si>
  <si>
    <t>控除額</t>
  </si>
  <si>
    <t>上限⇒</t>
  </si>
  <si>
    <t>基準所得税額</t>
  </si>
  <si>
    <t>【住民税】MAXと差額の低いほうを採用</t>
  </si>
  <si>
    <t>復興特別所得税額</t>
  </si>
  <si>
    <t>住宅ローン控除</t>
  </si>
  <si>
    <t>所得控除との差額</t>
  </si>
  <si>
    <t>所得税額(年額）</t>
  </si>
  <si>
    <t>住民税額の算定</t>
  </si>
  <si>
    <t>生命保険料（住民税）</t>
  </si>
  <si>
    <t>MAX　7万</t>
  </si>
  <si>
    <t>MAX　33万</t>
  </si>
  <si>
    <t>基礎控除（住民税）</t>
  </si>
  <si>
    <t>一律　43万</t>
  </si>
  <si>
    <t>課税標準額</t>
  </si>
  <si>
    <t>住民税額</t>
  </si>
  <si>
    <t>住民税率</t>
  </si>
  <si>
    <t>市+県民税</t>
  </si>
  <si>
    <t>区3500、都1500</t>
  </si>
  <si>
    <t>所得税控除の残り（限度有）</t>
  </si>
  <si>
    <t>ふるさと納税</t>
  </si>
  <si>
    <t>特別控除</t>
  </si>
  <si>
    <t>住民税額（年額）</t>
  </si>
  <si>
    <t>翌年度の6月～5月住民税</t>
  </si>
  <si>
    <t>住宅ローン控除限度額(残高×1%)</t>
  </si>
  <si>
    <t>月額</t>
  </si>
  <si>
    <t>Ｒ１</t>
  </si>
  <si>
    <t>Ｒ２</t>
  </si>
  <si>
    <t>Ｒ３</t>
  </si>
  <si>
    <t>住宅ローン残高</t>
  </si>
  <si>
    <t>ふるさと納税額</t>
  </si>
  <si>
    <t>住宅ローン減税損得</t>
  </si>
  <si>
    <t>ふるさと納税額の損得</t>
  </si>
  <si>
    <t>住宅ローン控除（もらえていない額）</t>
  </si>
  <si>
    <t>給与等の収入金額</t>
  </si>
  <si>
    <t>162.5万以下</t>
  </si>
  <si>
    <t>550,000円</t>
  </si>
  <si>
    <t>162.5～180万</t>
  </si>
  <si>
    <t>収入金額×40％-100,000円</t>
  </si>
  <si>
    <t>180～360万</t>
  </si>
  <si>
    <t>収入金額×30％+80,000円</t>
  </si>
  <si>
    <t>360～660万</t>
  </si>
  <si>
    <t>収入金額×20％+440,000円</t>
  </si>
  <si>
    <t>660～850万</t>
  </si>
  <si>
    <t>収入金額×10％+1,100,000円</t>
  </si>
  <si>
    <t>850万超</t>
  </si>
  <si>
    <t>1,950,000円</t>
  </si>
  <si>
    <t>所得税の税額早見表</t>
  </si>
  <si>
    <t>195万以下</t>
  </si>
  <si>
    <t>195～330万</t>
  </si>
  <si>
    <t>330～695万</t>
  </si>
  <si>
    <t>695～900万</t>
  </si>
  <si>
    <t>900～1800万</t>
  </si>
  <si>
    <t>ふるさと納税税控除</t>
  </si>
  <si>
    <t>所得税</t>
  </si>
  <si>
    <t>住民税（基本）</t>
  </si>
  <si>
    <t>住民税（特例）</t>
  </si>
  <si>
    <t>合計</t>
  </si>
  <si>
    <t>ふるさと納税控除上限（ケース１）</t>
  </si>
  <si>
    <t>住民税控除合計</t>
  </si>
  <si>
    <t>ふるさと納税控除上限額</t>
  </si>
  <si>
    <t>ふるさと納税控除上限（ケース２）</t>
  </si>
  <si>
    <t>ふるさと納税控除上限（ケース３）</t>
  </si>
</sst>
</file>

<file path=xl/styles.xml><?xml version="1.0" encoding="utf-8"?>
<styleSheet xmlns="http://schemas.openxmlformats.org/spreadsheetml/2006/main">
  <numFmts count="7">
    <numFmt numFmtId="176" formatCode="0.00&quot;万円超&quot;"/>
    <numFmt numFmtId="177" formatCode="_ * #,##0_ ;_ * \-#,##0_ ;_ * &quot;-&quot;??_ ;_ @_ 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  <numFmt numFmtId="180" formatCode="0.00&quot;万円以下&quot;"/>
    <numFmt numFmtId="181" formatCode="0&quot;万円&quot;"/>
    <numFmt numFmtId="182" formatCode="#,##0&quot;円&quot;"/>
  </numFmts>
  <fonts count="24">
    <font>
      <sz val="11"/>
      <color theme="1"/>
      <name val="ＭＳ Ｐゴシック"/>
      <charset val="134"/>
      <scheme val="minor"/>
    </font>
    <font>
      <sz val="10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9"/>
      <color rgb="FFFF000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38" fontId="0" fillId="0" borderId="0" applyFont="0" applyFill="0" applyBorder="0" applyAlignment="0" applyProtection="0">
      <alignment vertical="center"/>
    </xf>
    <xf numFmtId="0" fontId="8" fillId="8" borderId="3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2" borderId="3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14" borderId="42" applyNumberFormat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9" fillId="14" borderId="37" applyNumberFormat="0" applyAlignment="0" applyProtection="0">
      <alignment vertical="center"/>
    </xf>
    <xf numFmtId="0" fontId="12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 shrinkToFit="1"/>
    </xf>
    <xf numFmtId="3" fontId="2" fillId="0" borderId="5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3" fontId="2" fillId="3" borderId="5" xfId="0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vertical="center" shrinkToFit="1"/>
    </xf>
    <xf numFmtId="0" fontId="1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3" fontId="2" fillId="0" borderId="0" xfId="0" applyNumberFormat="1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vertical="center" shrinkToFit="1"/>
    </xf>
    <xf numFmtId="3" fontId="2" fillId="0" borderId="5" xfId="0" applyNumberFormat="1" applyFont="1" applyFill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9" fontId="2" fillId="0" borderId="5" xfId="9" applyFont="1" applyFill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1" fontId="1" fillId="0" borderId="7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3" fontId="2" fillId="0" borderId="12" xfId="0" applyNumberFormat="1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3" fontId="2" fillId="4" borderId="15" xfId="0" applyNumberFormat="1" applyFont="1" applyFill="1" applyBorder="1" applyAlignment="1">
      <alignment vertical="center" shrinkToFit="1"/>
    </xf>
    <xf numFmtId="3" fontId="2" fillId="4" borderId="16" xfId="0" applyNumberFormat="1" applyFont="1" applyFill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horizontal="left" vertical="center"/>
    </xf>
    <xf numFmtId="18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 shrinkToFit="1"/>
    </xf>
    <xf numFmtId="38" fontId="1" fillId="0" borderId="7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Border="1" applyAlignment="1">
      <alignment horizontal="left" vertical="center" shrinkToFit="1"/>
    </xf>
    <xf numFmtId="181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38" fontId="3" fillId="0" borderId="0" xfId="1" applyFont="1" applyBorder="1" applyAlignment="1">
      <alignment horizontal="right" vertical="center" shrinkToFit="1"/>
    </xf>
    <xf numFmtId="0" fontId="2" fillId="0" borderId="18" xfId="0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176" fontId="2" fillId="0" borderId="23" xfId="0" applyNumberFormat="1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176" fontId="2" fillId="0" borderId="25" xfId="0" applyNumberFormat="1" applyFont="1" applyFill="1" applyBorder="1" applyAlignment="1">
      <alignment horizontal="center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2" fontId="1" fillId="0" borderId="0" xfId="0" applyNumberFormat="1" applyFont="1" applyAlignment="1">
      <alignment vertical="center"/>
    </xf>
    <xf numFmtId="176" fontId="2" fillId="0" borderId="27" xfId="0" applyNumberFormat="1" applyFont="1" applyFill="1" applyBorder="1" applyAlignment="1">
      <alignment horizontal="center" vertical="center" shrinkToFit="1"/>
    </xf>
    <xf numFmtId="180" fontId="2" fillId="0" borderId="28" xfId="0" applyNumberFormat="1" applyFont="1" applyFill="1" applyBorder="1" applyAlignment="1">
      <alignment horizontal="center" vertical="center" shrinkToFit="1"/>
    </xf>
    <xf numFmtId="10" fontId="2" fillId="0" borderId="7" xfId="0" applyNumberFormat="1" applyFont="1" applyFill="1" applyBorder="1" applyAlignment="1">
      <alignment horizontal="center" vertical="center"/>
    </xf>
    <xf numFmtId="182" fontId="2" fillId="0" borderId="29" xfId="0" applyNumberFormat="1" applyFont="1" applyFill="1" applyBorder="1" applyAlignment="1">
      <alignment horizontal="right" vertical="center" indent="1"/>
    </xf>
    <xf numFmtId="10" fontId="2" fillId="0" borderId="30" xfId="0" applyNumberFormat="1" applyFont="1" applyFill="1" applyBorder="1" applyAlignment="1">
      <alignment horizontal="center" vertical="center"/>
    </xf>
    <xf numFmtId="182" fontId="2" fillId="0" borderId="31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 vertical="center" wrapText="1" shrinkToFit="1"/>
    </xf>
    <xf numFmtId="0" fontId="2" fillId="0" borderId="18" xfId="0" applyFont="1" applyBorder="1" applyAlignment="1">
      <alignment horizontal="center" vertical="center" shrinkToFit="1"/>
    </xf>
    <xf numFmtId="10" fontId="2" fillId="0" borderId="28" xfId="9" applyNumberFormat="1" applyFont="1" applyBorder="1" applyAlignment="1">
      <alignment vertical="center"/>
    </xf>
    <xf numFmtId="10" fontId="2" fillId="0" borderId="29" xfId="9" applyNumberFormat="1" applyFont="1" applyFill="1" applyBorder="1" applyAlignment="1">
      <alignment vertical="center"/>
    </xf>
    <xf numFmtId="10" fontId="2" fillId="0" borderId="31" xfId="9" applyNumberFormat="1" applyFont="1" applyFill="1" applyBorder="1" applyAlignment="1">
      <alignment vertical="center"/>
    </xf>
    <xf numFmtId="0" fontId="2" fillId="0" borderId="32" xfId="0" applyFont="1" applyBorder="1" applyAlignment="1">
      <alignment horizontal="left" vertical="center" wrapText="1" shrinkToFit="1"/>
    </xf>
    <xf numFmtId="0" fontId="2" fillId="0" borderId="33" xfId="0" applyFont="1" applyBorder="1" applyAlignment="1">
      <alignment horizontal="left" vertical="center" wrapText="1" shrinkToFit="1"/>
    </xf>
    <xf numFmtId="181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1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82" fontId="2" fillId="0" borderId="7" xfId="0" applyNumberFormat="1" applyFont="1" applyBorder="1" applyAlignment="1">
      <alignment horizontal="right" vertical="center" indent="1"/>
    </xf>
    <xf numFmtId="182" fontId="2" fillId="0" borderId="29" xfId="0" applyNumberFormat="1" applyFont="1" applyBorder="1" applyAlignment="1">
      <alignment horizontal="right" vertical="center" indent="1"/>
    </xf>
    <xf numFmtId="0" fontId="2" fillId="0" borderId="35" xfId="0" applyFont="1" applyBorder="1" applyAlignment="1">
      <alignment horizontal="center" vertical="center" shrinkToFit="1"/>
    </xf>
    <xf numFmtId="182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shrinkToFit="1"/>
    </xf>
    <xf numFmtId="0" fontId="2" fillId="0" borderId="36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2" fillId="0" borderId="24" xfId="0" applyFont="1" applyBorder="1" applyAlignment="1">
      <alignment horizontal="center" vertical="center" shrinkToFit="1"/>
    </xf>
    <xf numFmtId="182" fontId="2" fillId="0" borderId="30" xfId="0" applyNumberFormat="1" applyFont="1" applyBorder="1" applyAlignment="1">
      <alignment horizontal="right" vertical="center" indent="1"/>
    </xf>
    <xf numFmtId="182" fontId="2" fillId="0" borderId="31" xfId="0" applyNumberFormat="1" applyFont="1" applyBorder="1" applyAlignment="1">
      <alignment horizontal="right" vertical="center" inden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Medium9"/>
  <colors>
    <mruColors>
      <color rgb="00FFCCFF"/>
      <color rgb="00CCFFFF"/>
      <color rgb="00CCFFCC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123825</xdr:colOff>
      <xdr:row>1</xdr:row>
      <xdr:rowOff>95250</xdr:rowOff>
    </xdr:from>
    <xdr:to>
      <xdr:col>8</xdr:col>
      <xdr:colOff>171450</xdr:colOff>
      <xdr:row>7</xdr:row>
      <xdr:rowOff>139065</xdr:rowOff>
    </xdr:to>
    <xdr:sp>
      <xdr:nvSpPr>
        <xdr:cNvPr id="2" name="テキストボックス 1"/>
        <xdr:cNvSpPr txBox="1"/>
      </xdr:nvSpPr>
      <xdr:spPr>
        <a:xfrm>
          <a:off x="7581900" y="247650"/>
          <a:ext cx="2028825" cy="958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ja-JP" altLang="en-US" sz="1100"/>
            <a:t>①原則、オレンジと青のセルのみ入力してください</a:t>
          </a:r>
          <a:endParaRPr lang="ja-JP" altLang="en-US" sz="1100"/>
        </a:p>
        <a:p>
          <a:pPr algn="l"/>
          <a:r>
            <a:rPr lang="ja-JP" altLang="en-US" sz="1100"/>
            <a:t>②市＋県民税はお住まいの額を入れてください</a:t>
          </a:r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1"/>
  <sheetViews>
    <sheetView tabSelected="1" view="pageBreakPreview" zoomScaleNormal="100" zoomScaleSheetLayoutView="100" workbookViewId="0">
      <selection activeCell="E53" sqref="E53"/>
    </sheetView>
  </sheetViews>
  <sheetFormatPr defaultColWidth="9" defaultRowHeight="12"/>
  <cols>
    <col min="1" max="1" width="11.625" style="1" customWidth="1"/>
    <col min="2" max="2" width="25.25" style="1" customWidth="1"/>
    <col min="3" max="5" width="14.25" style="1" customWidth="1"/>
    <col min="6" max="6" width="18.25" style="2" customWidth="1"/>
    <col min="7" max="7" width="16.25" style="1" customWidth="1"/>
    <col min="8" max="8" width="9.75" style="1" customWidth="1"/>
    <col min="9" max="10" width="10.875" style="1" customWidth="1"/>
    <col min="11" max="16384" width="9" style="1"/>
  </cols>
  <sheetData>
    <row r="1" customHeight="1" spans="1:6">
      <c r="A1" s="3" t="s">
        <v>0</v>
      </c>
      <c r="B1" s="3"/>
      <c r="C1" s="3"/>
      <c r="D1" s="3"/>
      <c r="E1" s="3"/>
      <c r="F1" s="4"/>
    </row>
    <row r="2" customHeight="1" spans="1:8">
      <c r="A2" s="5"/>
      <c r="B2" s="6"/>
      <c r="C2" s="6" t="s">
        <v>1</v>
      </c>
      <c r="D2" s="6" t="s">
        <v>2</v>
      </c>
      <c r="E2" s="6" t="s">
        <v>3</v>
      </c>
      <c r="F2" s="7" t="s">
        <v>4</v>
      </c>
      <c r="H2" s="1" t="s">
        <v>5</v>
      </c>
    </row>
    <row r="3" customHeight="1" spans="1:14">
      <c r="A3" s="8" t="s">
        <v>6</v>
      </c>
      <c r="B3" s="9"/>
      <c r="C3" s="10"/>
      <c r="D3" s="10"/>
      <c r="E3" s="10"/>
      <c r="F3" s="11"/>
      <c r="H3" s="12">
        <v>1625000</v>
      </c>
      <c r="I3" s="24"/>
      <c r="J3" s="12">
        <v>550000</v>
      </c>
      <c r="L3" s="1">
        <f>IF(C4&lt;=$H3,$I3,IF(C4&lt;=$H4,$I4,IF(C4&lt;=$H5,$I5,IF(C4&lt;=$H6,$I6,$I7))))</f>
        <v>0.3</v>
      </c>
      <c r="M3" s="1">
        <f>IF(D4&lt;=$H3,$I3,IF(D4&lt;=$H4,$I4,IF(D4&lt;=$H5,$I5,IF(D4&lt;=$H6,$I6,$I7))))</f>
        <v>0.2</v>
      </c>
      <c r="N3" s="1">
        <f>IF(E4&lt;=$H3,$I3,IF(E4&lt;=$H4,$I4,IF(E4&lt;=$H5,$I5,IF(E4&lt;=$H6,$I6,$I7))))</f>
        <v>0.1</v>
      </c>
    </row>
    <row r="4" customHeight="1" spans="1:14">
      <c r="A4" s="8"/>
      <c r="B4" s="9" t="s">
        <v>7</v>
      </c>
      <c r="C4" s="13">
        <v>3000000</v>
      </c>
      <c r="D4" s="13">
        <v>5000000</v>
      </c>
      <c r="E4" s="13">
        <v>7000000</v>
      </c>
      <c r="F4" s="11"/>
      <c r="H4" s="12">
        <v>1800000</v>
      </c>
      <c r="I4" s="24">
        <v>0.4</v>
      </c>
      <c r="J4" s="12">
        <v>-100000</v>
      </c>
      <c r="L4" s="1">
        <f>IF(C4&lt;=$H3,$J3,IF(C4&lt;=$H4,$J4,IF(C4&lt;=$H5,$J5,IF(C4&lt;=$H6,$J6,IF(C4&lt;=$H7,$J7,$J8)))))</f>
        <v>80000</v>
      </c>
      <c r="M4" s="1">
        <f>IF(D4&lt;=$H3,$J3,IF(D4&lt;=$H4,$J4,IF(D4&lt;=$H5,$J5,IF(D4&lt;=$H6,$J6,IF(D4&lt;=$H7,$J7,$J8)))))</f>
        <v>440000</v>
      </c>
      <c r="N4" s="1">
        <f>IF(E4&lt;=$H3,$J3,IF(E4&lt;=$H4,$J4,IF(E4&lt;=$H5,$J5,IF(E4&lt;=$H6,$J6,IF(E4&lt;=$H7,$J7,$J8)))))</f>
        <v>1100000</v>
      </c>
    </row>
    <row r="5" customHeight="1" spans="1:10">
      <c r="A5" s="8"/>
      <c r="B5" s="9" t="s">
        <v>8</v>
      </c>
      <c r="C5" s="14">
        <f>ROUND(C4*L3+L4,0)</f>
        <v>980000</v>
      </c>
      <c r="D5" s="14">
        <f>ROUND(D4*M3+M4,0)</f>
        <v>1440000</v>
      </c>
      <c r="E5" s="14">
        <f>ROUND(E4*N3+N4,0)</f>
        <v>1800000</v>
      </c>
      <c r="F5" s="15"/>
      <c r="H5" s="12">
        <v>3600000</v>
      </c>
      <c r="I5" s="24">
        <v>0.3</v>
      </c>
      <c r="J5" s="12">
        <v>80000</v>
      </c>
    </row>
    <row r="6" customHeight="1" spans="1:10">
      <c r="A6" s="8"/>
      <c r="B6" s="9" t="s">
        <v>9</v>
      </c>
      <c r="C6" s="16">
        <v>2020000</v>
      </c>
      <c r="D6" s="16">
        <v>3560000</v>
      </c>
      <c r="E6" s="16">
        <f>E4-E5</f>
        <v>5200000</v>
      </c>
      <c r="F6" s="15" t="s">
        <v>10</v>
      </c>
      <c r="H6" s="12">
        <v>6600000</v>
      </c>
      <c r="I6" s="24">
        <v>0.2</v>
      </c>
      <c r="J6" s="12">
        <v>440000</v>
      </c>
    </row>
    <row r="7" customHeight="1" spans="1:10">
      <c r="A7" s="17"/>
      <c r="B7" s="18"/>
      <c r="C7" s="19" t="s">
        <v>11</v>
      </c>
      <c r="D7" s="19" t="s">
        <v>11</v>
      </c>
      <c r="E7" s="20"/>
      <c r="F7" s="21"/>
      <c r="H7" s="12">
        <v>8500000</v>
      </c>
      <c r="I7" s="24">
        <v>0.1</v>
      </c>
      <c r="J7" s="12">
        <v>1100000</v>
      </c>
    </row>
    <row r="8" spans="1:10">
      <c r="A8" s="22"/>
      <c r="B8" s="22"/>
      <c r="C8" s="23"/>
      <c r="D8" s="23"/>
      <c r="E8" s="23"/>
      <c r="F8" s="4"/>
      <c r="H8" s="24"/>
      <c r="I8" s="24"/>
      <c r="J8" s="12">
        <v>1950000</v>
      </c>
    </row>
    <row r="9" customHeight="1" spans="1:6">
      <c r="A9" s="25" t="s">
        <v>12</v>
      </c>
      <c r="B9" s="22"/>
      <c r="C9" s="26"/>
      <c r="D9" s="26"/>
      <c r="E9" s="26"/>
      <c r="F9" s="4"/>
    </row>
    <row r="10" customHeight="1" spans="1:8">
      <c r="A10" s="27"/>
      <c r="B10" s="28"/>
      <c r="C10" s="6" t="s">
        <v>13</v>
      </c>
      <c r="D10" s="6" t="s">
        <v>14</v>
      </c>
      <c r="E10" s="6" t="s">
        <v>15</v>
      </c>
      <c r="F10" s="7" t="s">
        <v>4</v>
      </c>
      <c r="H10" s="1" t="s">
        <v>16</v>
      </c>
    </row>
    <row r="11" customHeight="1" spans="1:14">
      <c r="A11" s="29" t="s">
        <v>17</v>
      </c>
      <c r="B11" s="30"/>
      <c r="C11" s="9"/>
      <c r="D11" s="9"/>
      <c r="E11" s="9"/>
      <c r="F11" s="11"/>
      <c r="H11" s="12">
        <v>1950000</v>
      </c>
      <c r="I11" s="24">
        <v>0.05</v>
      </c>
      <c r="J11" s="12">
        <v>0</v>
      </c>
      <c r="L11" s="71">
        <f>IF(C19&lt;=$H11,$I11,IF(C19&lt;=$H12,$I12,IF(C19&lt;=$H13,$I13,IF(C19&lt;=$H14,$I14,$I15))))</f>
        <v>0.05</v>
      </c>
      <c r="M11" s="71">
        <f>IF(D19&lt;=$H11,$I11,IF(D19&lt;=$H12,$I12,IF(D19&lt;=$H13,$I13,IF(D19&lt;=$H14,$I14,$I15))))</f>
        <v>0.05</v>
      </c>
      <c r="N11" s="71">
        <f>IF(E19&lt;=$H11,$I11,IF(E19&lt;=$H12,$I12,IF(E19&lt;=$H13,$I13,IF(E19&lt;=$H14,$I14,$I15))))</f>
        <v>0.1</v>
      </c>
    </row>
    <row r="12" customHeight="1" spans="1:14">
      <c r="A12" s="29"/>
      <c r="B12" s="9" t="s">
        <v>18</v>
      </c>
      <c r="C12" s="31">
        <v>448452</v>
      </c>
      <c r="D12" s="31">
        <v>707982</v>
      </c>
      <c r="E12" s="31">
        <v>831192</v>
      </c>
      <c r="F12" s="11" t="s">
        <v>19</v>
      </c>
      <c r="H12" s="12">
        <v>3300000</v>
      </c>
      <c r="I12" s="24">
        <v>0.1</v>
      </c>
      <c r="J12" s="12">
        <v>97500</v>
      </c>
      <c r="L12" s="1">
        <f>IF(C19&lt;=$H11,$J11,IF(C19&lt;=$H12,$J12,IF(C19&lt;=$H13,$J13,IF(C19&lt;=$H14,$J14,$J15))))</f>
        <v>0</v>
      </c>
      <c r="M12" s="1">
        <f>IF(D19&lt;=$H11,$J11,IF(D19&lt;=$H12,$J12,IF(D19&lt;=$H13,$J13,IF(D19&lt;=$H14,$J14,$J15))))</f>
        <v>0</v>
      </c>
      <c r="N12" s="1">
        <f>IF(E19&lt;=$H11,$J11,IF(E19&lt;=$H12,$J12,IF(E19&lt;=$H13,$J13,IF(E19&lt;=$H14,$J14,$J15))))</f>
        <v>97500</v>
      </c>
    </row>
    <row r="13" customHeight="1" spans="1:10">
      <c r="A13" s="29"/>
      <c r="B13" s="9" t="s">
        <v>20</v>
      </c>
      <c r="C13" s="31">
        <v>120000</v>
      </c>
      <c r="D13" s="31">
        <v>120000</v>
      </c>
      <c r="E13" s="31">
        <v>74609</v>
      </c>
      <c r="F13" s="11" t="s">
        <v>21</v>
      </c>
      <c r="H13" s="12">
        <v>6950000</v>
      </c>
      <c r="I13" s="24">
        <v>0.2</v>
      </c>
      <c r="J13" s="12">
        <v>427500</v>
      </c>
    </row>
    <row r="14" customHeight="1" spans="1:10">
      <c r="A14" s="29"/>
      <c r="B14" s="9" t="s">
        <v>22</v>
      </c>
      <c r="C14" s="31">
        <v>0</v>
      </c>
      <c r="D14" s="31">
        <v>380000</v>
      </c>
      <c r="E14" s="31">
        <v>380000</v>
      </c>
      <c r="F14" s="11" t="s">
        <v>23</v>
      </c>
      <c r="H14" s="12">
        <v>9000000</v>
      </c>
      <c r="I14" s="24">
        <v>0.23</v>
      </c>
      <c r="J14" s="12">
        <v>636000</v>
      </c>
    </row>
    <row r="15" customHeight="1" spans="1:10">
      <c r="A15" s="29"/>
      <c r="B15" s="9" t="s">
        <v>24</v>
      </c>
      <c r="C15" s="31">
        <v>0</v>
      </c>
      <c r="D15" s="31">
        <v>0</v>
      </c>
      <c r="E15" s="31">
        <v>380000</v>
      </c>
      <c r="F15" s="11" t="s">
        <v>25</v>
      </c>
      <c r="H15" s="12">
        <v>18000000</v>
      </c>
      <c r="I15" s="24">
        <v>0.33</v>
      </c>
      <c r="J15" s="12">
        <v>1536000</v>
      </c>
    </row>
    <row r="16" customHeight="1" spans="1:6">
      <c r="A16" s="29"/>
      <c r="B16" s="9" t="s">
        <v>26</v>
      </c>
      <c r="C16" s="31">
        <v>380000</v>
      </c>
      <c r="D16" s="31">
        <v>480000</v>
      </c>
      <c r="E16" s="31">
        <v>480000</v>
      </c>
      <c r="F16" s="11" t="s">
        <v>27</v>
      </c>
    </row>
    <row r="17" customHeight="1" spans="1:6">
      <c r="A17" s="29"/>
      <c r="B17" s="9" t="s">
        <v>28</v>
      </c>
      <c r="C17" s="31">
        <v>240000</v>
      </c>
      <c r="D17" s="31">
        <v>240000</v>
      </c>
      <c r="E17" s="31">
        <v>144000</v>
      </c>
      <c r="F17" s="11"/>
    </row>
    <row r="18" customHeight="1" spans="1:6">
      <c r="A18" s="29"/>
      <c r="B18" s="9" t="s">
        <v>29</v>
      </c>
      <c r="C18" s="32">
        <f>SUM(C12:C17)</f>
        <v>1188452</v>
      </c>
      <c r="D18" s="32">
        <f t="shared" ref="D18:E18" si="0">SUM(D12:D17)</f>
        <v>1927982</v>
      </c>
      <c r="E18" s="32">
        <f t="shared" si="0"/>
        <v>2289801</v>
      </c>
      <c r="F18" s="11"/>
    </row>
    <row r="19" customHeight="1" spans="1:8">
      <c r="A19" s="29"/>
      <c r="B19" s="30" t="s">
        <v>30</v>
      </c>
      <c r="C19" s="32">
        <f>ROUNDDOWN(C6-C18,-3)</f>
        <v>831000</v>
      </c>
      <c r="D19" s="32">
        <f t="shared" ref="D19:E19" si="1">ROUNDDOWN(D6-D18,-3)</f>
        <v>1632000</v>
      </c>
      <c r="E19" s="32">
        <f t="shared" si="1"/>
        <v>2910000</v>
      </c>
      <c r="F19" s="11"/>
      <c r="H19" s="1" t="s">
        <v>31</v>
      </c>
    </row>
    <row r="20" customHeight="1" spans="1:10">
      <c r="A20" s="29"/>
      <c r="B20" s="30"/>
      <c r="C20" s="32"/>
      <c r="D20" s="32"/>
      <c r="E20" s="32"/>
      <c r="F20" s="11"/>
      <c r="H20" s="33" t="str">
        <f>C2</f>
        <v>ケース１</v>
      </c>
      <c r="I20" s="33" t="str">
        <f t="shared" ref="I20:J20" si="2">D2</f>
        <v>ケース２</v>
      </c>
      <c r="J20" s="33" t="str">
        <f t="shared" si="2"/>
        <v>ケース３</v>
      </c>
    </row>
    <row r="21" customHeight="1" spans="1:10">
      <c r="A21" s="29" t="s">
        <v>32</v>
      </c>
      <c r="B21" s="30" t="s">
        <v>33</v>
      </c>
      <c r="C21" s="34">
        <f>L11</f>
        <v>0.05</v>
      </c>
      <c r="D21" s="34">
        <f>M11</f>
        <v>0.05</v>
      </c>
      <c r="E21" s="34">
        <f>N11</f>
        <v>0.1</v>
      </c>
      <c r="F21" s="11"/>
      <c r="G21" s="35" t="s">
        <v>34</v>
      </c>
      <c r="H21" s="36">
        <f>C39*0.07</f>
        <v>65170</v>
      </c>
      <c r="I21" s="36">
        <f>D39*0.07</f>
        <v>124740</v>
      </c>
      <c r="J21" s="36">
        <f t="shared" ref="J21" si="3">E39*0.07</f>
        <v>214480</v>
      </c>
    </row>
    <row r="22" customHeight="1" spans="1:10">
      <c r="A22" s="29"/>
      <c r="B22" s="30" t="s">
        <v>35</v>
      </c>
      <c r="C22" s="32">
        <f>L12</f>
        <v>0</v>
      </c>
      <c r="D22" s="32">
        <f t="shared" ref="D22:E22" si="4">M12</f>
        <v>0</v>
      </c>
      <c r="E22" s="32">
        <f t="shared" si="4"/>
        <v>97500</v>
      </c>
      <c r="F22" s="11"/>
      <c r="G22" s="35" t="s">
        <v>36</v>
      </c>
      <c r="H22" s="24">
        <v>136500</v>
      </c>
      <c r="I22" s="24">
        <v>136500</v>
      </c>
      <c r="J22" s="24">
        <v>136500</v>
      </c>
    </row>
    <row r="23" customHeight="1" spans="1:8">
      <c r="A23" s="29"/>
      <c r="B23" s="30" t="s">
        <v>37</v>
      </c>
      <c r="C23" s="32">
        <f>C19*C21-C22</f>
        <v>41550</v>
      </c>
      <c r="D23" s="32">
        <f>D19*D21-D22</f>
        <v>81600</v>
      </c>
      <c r="E23" s="32">
        <f>E19*E21-E22</f>
        <v>193500</v>
      </c>
      <c r="F23" s="11"/>
      <c r="H23" s="1" t="s">
        <v>38</v>
      </c>
    </row>
    <row r="24" customHeight="1" spans="1:10">
      <c r="A24" s="29"/>
      <c r="B24" s="30" t="s">
        <v>39</v>
      </c>
      <c r="C24" s="32">
        <f>(C23-C25)*0.021</f>
        <v>872.55</v>
      </c>
      <c r="D24" s="32">
        <f t="shared" ref="D24:E24" si="5">(D23-D25)*0.021</f>
        <v>0</v>
      </c>
      <c r="E24" s="32">
        <f t="shared" si="5"/>
        <v>0</v>
      </c>
      <c r="F24" s="11"/>
      <c r="G24" s="35" t="s">
        <v>34</v>
      </c>
      <c r="H24" s="12">
        <f>IF(H21&gt;=H22,H22,H21)</f>
        <v>65170</v>
      </c>
      <c r="I24" s="12">
        <f>IF(I21&gt;=I22,I22,I21)</f>
        <v>124740</v>
      </c>
      <c r="J24" s="12">
        <f t="shared" ref="J24" si="6">IF(J21&gt;=J22,J22,J21)</f>
        <v>136500</v>
      </c>
    </row>
    <row r="25" customHeight="1" spans="1:10">
      <c r="A25" s="29"/>
      <c r="B25" s="30" t="s">
        <v>40</v>
      </c>
      <c r="C25" s="32">
        <f>IF(H50&gt;=C23,C23,H50)</f>
        <v>0</v>
      </c>
      <c r="D25" s="32">
        <f>IF(I50&gt;=D23,D23,I50)</f>
        <v>81600</v>
      </c>
      <c r="E25" s="32">
        <f>IF(J50&gt;=E23,E23,J50)</f>
        <v>193500</v>
      </c>
      <c r="F25" s="11"/>
      <c r="H25" s="24"/>
      <c r="I25" s="24"/>
      <c r="J25" s="24"/>
    </row>
    <row r="26" customHeight="1" spans="1:10">
      <c r="A26" s="29"/>
      <c r="B26" s="37"/>
      <c r="C26" s="38"/>
      <c r="D26" s="38"/>
      <c r="E26" s="38"/>
      <c r="F26" s="11"/>
      <c r="G26" s="35" t="s">
        <v>41</v>
      </c>
      <c r="H26" s="12">
        <f>H50-C25</f>
        <v>0</v>
      </c>
      <c r="I26" s="12">
        <f>I50-D25</f>
        <v>218400</v>
      </c>
      <c r="J26" s="12">
        <f>J50-E25</f>
        <v>106500</v>
      </c>
    </row>
    <row r="27" customHeight="1" spans="1:6">
      <c r="A27" s="39"/>
      <c r="B27" s="40" t="s">
        <v>42</v>
      </c>
      <c r="C27" s="41">
        <f>C23+C24-C25</f>
        <v>42422.55</v>
      </c>
      <c r="D27" s="41">
        <f>D23+D24-D25</f>
        <v>0</v>
      </c>
      <c r="E27" s="42">
        <f t="shared" ref="D27:E27" si="7">E23+E24-E25</f>
        <v>0</v>
      </c>
      <c r="F27" s="43"/>
    </row>
    <row r="28" ht="4" customHeight="1" spans="1:6">
      <c r="A28" s="22"/>
      <c r="B28" s="44"/>
      <c r="C28" s="45"/>
      <c r="D28" s="46"/>
      <c r="E28" s="3"/>
      <c r="F28" s="4"/>
    </row>
    <row r="29" customHeight="1" spans="1:6">
      <c r="A29" s="25" t="s">
        <v>43</v>
      </c>
      <c r="B29" s="22"/>
      <c r="C29" s="26"/>
      <c r="D29" s="26"/>
      <c r="E29" s="26"/>
      <c r="F29" s="4"/>
    </row>
    <row r="30" customHeight="1" spans="1:6">
      <c r="A30" s="27"/>
      <c r="B30" s="28"/>
      <c r="C30" s="6" t="s">
        <v>13</v>
      </c>
      <c r="D30" s="6" t="s">
        <v>14</v>
      </c>
      <c r="E30" s="6" t="s">
        <v>15</v>
      </c>
      <c r="F30" s="7" t="s">
        <v>4</v>
      </c>
    </row>
    <row r="31" customHeight="1" spans="1:6">
      <c r="A31" s="29" t="s">
        <v>17</v>
      </c>
      <c r="B31" s="30"/>
      <c r="C31" s="9"/>
      <c r="D31" s="9"/>
      <c r="E31" s="9"/>
      <c r="F31" s="11"/>
    </row>
    <row r="32" customHeight="1" spans="1:6">
      <c r="A32" s="29"/>
      <c r="B32" s="9" t="s">
        <v>18</v>
      </c>
      <c r="C32" s="32">
        <f>C12</f>
        <v>448452</v>
      </c>
      <c r="D32" s="32">
        <f>D12</f>
        <v>707982</v>
      </c>
      <c r="E32" s="32">
        <f>E12</f>
        <v>831192</v>
      </c>
      <c r="F32" s="11"/>
    </row>
    <row r="33" customHeight="1" spans="1:6">
      <c r="A33" s="29"/>
      <c r="B33" s="9" t="s">
        <v>44</v>
      </c>
      <c r="C33" s="13">
        <v>70000</v>
      </c>
      <c r="D33" s="13">
        <v>70000</v>
      </c>
      <c r="E33" s="13">
        <v>70000</v>
      </c>
      <c r="F33" s="11" t="s">
        <v>45</v>
      </c>
    </row>
    <row r="34" customHeight="1" spans="1:6">
      <c r="A34" s="29"/>
      <c r="B34" s="9" t="s">
        <v>22</v>
      </c>
      <c r="C34" s="13">
        <v>0</v>
      </c>
      <c r="D34" s="13">
        <v>330000</v>
      </c>
      <c r="E34" s="13">
        <v>330000</v>
      </c>
      <c r="F34" s="11" t="s">
        <v>46</v>
      </c>
    </row>
    <row r="35" customHeight="1" spans="1:6">
      <c r="A35" s="29"/>
      <c r="B35" s="9" t="s">
        <v>24</v>
      </c>
      <c r="C35" s="13">
        <v>0</v>
      </c>
      <c r="D35" s="13">
        <v>0</v>
      </c>
      <c r="E35" s="13">
        <v>330000</v>
      </c>
      <c r="F35" s="11" t="s">
        <v>25</v>
      </c>
    </row>
    <row r="36" customHeight="1" spans="1:6">
      <c r="A36" s="29"/>
      <c r="B36" s="9" t="s">
        <v>47</v>
      </c>
      <c r="C36" s="13">
        <v>330000</v>
      </c>
      <c r="D36" s="13">
        <v>430000</v>
      </c>
      <c r="E36" s="13">
        <v>430000</v>
      </c>
      <c r="F36" s="11" t="s">
        <v>48</v>
      </c>
    </row>
    <row r="37" customHeight="1" spans="1:6">
      <c r="A37" s="29"/>
      <c r="B37" s="9" t="s">
        <v>28</v>
      </c>
      <c r="C37" s="32">
        <f>C17</f>
        <v>240000</v>
      </c>
      <c r="D37" s="32">
        <f>D17</f>
        <v>240000</v>
      </c>
      <c r="E37" s="32">
        <f>E17</f>
        <v>144000</v>
      </c>
      <c r="F37" s="11"/>
    </row>
    <row r="38" customHeight="1" spans="1:6">
      <c r="A38" s="29"/>
      <c r="B38" s="9" t="s">
        <v>29</v>
      </c>
      <c r="C38" s="32">
        <f>SUM(C32:C37)</f>
        <v>1088452</v>
      </c>
      <c r="D38" s="32">
        <f t="shared" ref="D38:E38" si="8">SUM(D32:D37)</f>
        <v>1777982</v>
      </c>
      <c r="E38" s="32">
        <f t="shared" si="8"/>
        <v>2135192</v>
      </c>
      <c r="F38" s="11"/>
    </row>
    <row r="39" customHeight="1" spans="1:6">
      <c r="A39" s="29"/>
      <c r="B39" s="30" t="s">
        <v>49</v>
      </c>
      <c r="C39" s="32">
        <f>ROUNDDOWN(C6-C38,-3)</f>
        <v>931000</v>
      </c>
      <c r="D39" s="32">
        <f t="shared" ref="D39:E39" si="9">ROUNDDOWN(D6-D38,-3)</f>
        <v>1782000</v>
      </c>
      <c r="E39" s="32">
        <f t="shared" si="9"/>
        <v>3064000</v>
      </c>
      <c r="F39" s="11"/>
    </row>
    <row r="40" ht="5" customHeight="1" spans="2:6">
      <c r="B40" s="30"/>
      <c r="C40" s="32"/>
      <c r="D40" s="32"/>
      <c r="E40" s="32"/>
      <c r="F40" s="11"/>
    </row>
    <row r="41" customHeight="1" spans="1:6">
      <c r="A41" s="29" t="s">
        <v>50</v>
      </c>
      <c r="B41" s="30" t="s">
        <v>51</v>
      </c>
      <c r="C41" s="34">
        <v>0.1</v>
      </c>
      <c r="D41" s="34">
        <v>0.1</v>
      </c>
      <c r="E41" s="34">
        <v>0.1</v>
      </c>
      <c r="F41" s="11"/>
    </row>
    <row r="42" customHeight="1" spans="1:6">
      <c r="A42" s="29"/>
      <c r="B42" s="30" t="s">
        <v>50</v>
      </c>
      <c r="C42" s="32">
        <f>C39*C41</f>
        <v>93100</v>
      </c>
      <c r="D42" s="32">
        <f t="shared" ref="D42:E42" si="10">D39*D41</f>
        <v>178200</v>
      </c>
      <c r="E42" s="32">
        <f t="shared" si="10"/>
        <v>306400</v>
      </c>
      <c r="F42" s="11"/>
    </row>
    <row r="43" customHeight="1" spans="1:6">
      <c r="A43" s="29"/>
      <c r="B43" s="30" t="s">
        <v>52</v>
      </c>
      <c r="C43" s="13">
        <v>5000</v>
      </c>
      <c r="D43" s="13">
        <v>5000</v>
      </c>
      <c r="E43" s="13">
        <v>5000</v>
      </c>
      <c r="F43" s="11" t="s">
        <v>53</v>
      </c>
    </row>
    <row r="44" customHeight="1" spans="1:6">
      <c r="A44" s="29"/>
      <c r="B44" s="30"/>
      <c r="C44" s="32"/>
      <c r="D44" s="32"/>
      <c r="E44" s="32"/>
      <c r="F44" s="11"/>
    </row>
    <row r="45" customHeight="1" spans="1:6">
      <c r="A45" s="29"/>
      <c r="B45" s="30" t="s">
        <v>40</v>
      </c>
      <c r="C45" s="32">
        <f>IF(H26&gt;=H24,H24,H26)</f>
        <v>0</v>
      </c>
      <c r="D45" s="32">
        <f>IF(I26&gt;=I24,I24,I26)</f>
        <v>124740</v>
      </c>
      <c r="E45" s="32">
        <f>IF(J26&gt;=J24,J24,J26)</f>
        <v>106500</v>
      </c>
      <c r="F45" s="11" t="s">
        <v>54</v>
      </c>
    </row>
    <row r="46" customHeight="1" spans="1:6">
      <c r="A46" s="29"/>
      <c r="B46" s="30" t="s">
        <v>55</v>
      </c>
      <c r="C46" s="32">
        <f>C51-2000</f>
        <v>18000</v>
      </c>
      <c r="D46" s="32">
        <f>IF(D51&lt;=$E$80,D51,$E$80)-2000</f>
        <v>18000</v>
      </c>
      <c r="E46" s="32">
        <f>IF(E51&lt;=$E$80,E51,$E$80)-2000</f>
        <v>18688.8888888889</v>
      </c>
      <c r="F46" s="11"/>
    </row>
    <row r="47" customHeight="1" spans="1:6">
      <c r="A47" s="29"/>
      <c r="B47" s="37" t="s">
        <v>56</v>
      </c>
      <c r="C47" s="38">
        <v>2500</v>
      </c>
      <c r="D47" s="38">
        <v>2500</v>
      </c>
      <c r="E47" s="38">
        <v>2500</v>
      </c>
      <c r="F47" s="11"/>
    </row>
    <row r="48" customHeight="1" spans="1:8">
      <c r="A48" s="39"/>
      <c r="B48" s="40" t="s">
        <v>57</v>
      </c>
      <c r="C48" s="41">
        <f>(C42+C43)-C45-C46-C47</f>
        <v>77600</v>
      </c>
      <c r="D48" s="41">
        <f t="shared" ref="D48:E48" si="11">(D42+D43)-D45-D46-D47</f>
        <v>37960</v>
      </c>
      <c r="E48" s="42">
        <f t="shared" si="11"/>
        <v>183711.111111111</v>
      </c>
      <c r="F48" s="43" t="s">
        <v>58</v>
      </c>
      <c r="H48" s="1" t="s">
        <v>59</v>
      </c>
    </row>
    <row r="49" customHeight="1" spans="1:10">
      <c r="A49" s="47"/>
      <c r="B49" s="47" t="s">
        <v>60</v>
      </c>
      <c r="C49" s="48">
        <f>C48/12</f>
        <v>6466.66666666667</v>
      </c>
      <c r="D49" s="48">
        <f>D48/12</f>
        <v>3163.33333333333</v>
      </c>
      <c r="E49" s="48">
        <f>E48/12</f>
        <v>15309.2592592593</v>
      </c>
      <c r="F49" s="4"/>
      <c r="H49" s="33" t="s">
        <v>61</v>
      </c>
      <c r="I49" s="33" t="s">
        <v>62</v>
      </c>
      <c r="J49" s="33" t="s">
        <v>63</v>
      </c>
    </row>
    <row r="50" customHeight="1" spans="1:10">
      <c r="A50" s="47"/>
      <c r="B50" s="49" t="s">
        <v>64</v>
      </c>
      <c r="C50" s="50">
        <v>0</v>
      </c>
      <c r="D50" s="51">
        <v>30000000</v>
      </c>
      <c r="E50" s="51">
        <v>30000000</v>
      </c>
      <c r="F50" s="4"/>
      <c r="H50" s="52">
        <f>ROUNDDOWN(C50*0.01,-2)</f>
        <v>0</v>
      </c>
      <c r="I50" s="52">
        <f t="shared" ref="I50:J50" si="12">ROUNDDOWN(D50*0.01,-2)</f>
        <v>300000</v>
      </c>
      <c r="J50" s="52">
        <f t="shared" si="12"/>
        <v>300000</v>
      </c>
    </row>
    <row r="51" customHeight="1" spans="1:6">
      <c r="A51" s="47"/>
      <c r="B51" s="49" t="s">
        <v>65</v>
      </c>
      <c r="C51" s="50">
        <v>20000</v>
      </c>
      <c r="D51" s="51">
        <v>20000</v>
      </c>
      <c r="E51" s="51">
        <v>50000</v>
      </c>
      <c r="F51" s="4"/>
    </row>
    <row r="52" customHeight="1" spans="1:6">
      <c r="A52" s="47"/>
      <c r="B52" s="53" t="s">
        <v>66</v>
      </c>
      <c r="C52" s="54" t="str">
        <f>IF(H26&gt;H24,"住宅ローン減税が損","")</f>
        <v/>
      </c>
      <c r="D52" s="54" t="str">
        <f>IF(I26&gt;I24,"住宅ローン減税が損","")</f>
        <v>住宅ローン減税が損</v>
      </c>
      <c r="E52" s="54" t="str">
        <f>IF(J26&gt;J24,"住宅ローン減税が損","")</f>
        <v/>
      </c>
      <c r="F52" s="55"/>
    </row>
    <row r="53" customHeight="1" spans="1:6">
      <c r="A53" s="22"/>
      <c r="B53" s="44" t="s">
        <v>67</v>
      </c>
      <c r="C53" s="56" t="str">
        <f>IF(C51&gt;$B$80,"ふるさと納税やりすぎ","")</f>
        <v/>
      </c>
      <c r="D53" s="57" t="str">
        <f>IF(D51&gt;$B$84,"ふるさと納税やりすぎ","")</f>
        <v/>
      </c>
      <c r="E53" s="58" t="str">
        <f>IF(E51&gt;$B$88,"ふるさと納税やりすぎ","")</f>
        <v/>
      </c>
      <c r="F53" s="55"/>
    </row>
    <row r="54" customHeight="1" spans="1:6">
      <c r="A54" s="22"/>
      <c r="B54" s="44" t="s">
        <v>68</v>
      </c>
      <c r="C54" s="59">
        <f>C25+C45-C50*0.01</f>
        <v>0</v>
      </c>
      <c r="D54" s="59">
        <f>D25+D45-D50*0.01</f>
        <v>-93660</v>
      </c>
      <c r="E54" s="59">
        <f>E25+E45-E50*0.01</f>
        <v>0</v>
      </c>
      <c r="F54" s="55"/>
    </row>
    <row r="55" customHeight="1" spans="1:6">
      <c r="A55" s="25" t="s">
        <v>8</v>
      </c>
      <c r="B55" s="44"/>
      <c r="C55" s="45"/>
      <c r="D55" s="46"/>
      <c r="E55" s="3"/>
      <c r="F55" s="4"/>
    </row>
    <row r="56" customHeight="1" spans="1:6">
      <c r="A56" s="60" t="s">
        <v>69</v>
      </c>
      <c r="B56" s="61" t="s">
        <v>8</v>
      </c>
      <c r="C56" s="62"/>
      <c r="D56" s="46"/>
      <c r="E56" s="63"/>
      <c r="F56" s="4"/>
    </row>
    <row r="57" customHeight="1" spans="1:6">
      <c r="A57" s="64" t="s">
        <v>70</v>
      </c>
      <c r="B57" s="65" t="s">
        <v>71</v>
      </c>
      <c r="C57" s="66"/>
      <c r="D57" s="46"/>
      <c r="E57" s="63"/>
      <c r="F57" s="4"/>
    </row>
    <row r="58" customHeight="1" spans="1:6">
      <c r="A58" s="64" t="s">
        <v>72</v>
      </c>
      <c r="B58" s="65" t="s">
        <v>73</v>
      </c>
      <c r="C58" s="66"/>
      <c r="D58" s="46"/>
      <c r="E58" s="3"/>
      <c r="F58" s="4"/>
    </row>
    <row r="59" customHeight="1" spans="1:6">
      <c r="A59" s="64" t="s">
        <v>74</v>
      </c>
      <c r="B59" s="65" t="s">
        <v>75</v>
      </c>
      <c r="C59" s="66"/>
      <c r="D59" s="46"/>
      <c r="E59" s="3"/>
      <c r="F59" s="4"/>
    </row>
    <row r="60" customHeight="1" spans="1:6">
      <c r="A60" s="64" t="s">
        <v>76</v>
      </c>
      <c r="B60" s="65" t="s">
        <v>77</v>
      </c>
      <c r="C60" s="66"/>
      <c r="D60" s="46"/>
      <c r="E60" s="3"/>
      <c r="F60" s="4"/>
    </row>
    <row r="61" customHeight="1" spans="1:6">
      <c r="A61" s="64" t="s">
        <v>78</v>
      </c>
      <c r="B61" s="65" t="s">
        <v>79</v>
      </c>
      <c r="C61" s="66"/>
      <c r="D61" s="46"/>
      <c r="E61" s="3"/>
      <c r="F61" s="4"/>
    </row>
    <row r="62" customHeight="1" spans="1:6">
      <c r="A62" s="67" t="s">
        <v>80</v>
      </c>
      <c r="B62" s="68" t="s">
        <v>81</v>
      </c>
      <c r="C62" s="69"/>
      <c r="D62" s="46"/>
      <c r="E62" s="3"/>
      <c r="F62" s="4"/>
    </row>
    <row r="63" ht="4" customHeight="1" spans="1:6">
      <c r="A63" s="22"/>
      <c r="B63" s="44"/>
      <c r="C63" s="45"/>
      <c r="D63" s="46"/>
      <c r="E63" s="3"/>
      <c r="F63" s="4"/>
    </row>
    <row r="64" customHeight="1" spans="1:6">
      <c r="A64" s="70" t="s">
        <v>82</v>
      </c>
      <c r="B64" s="70"/>
      <c r="C64" s="45"/>
      <c r="D64" s="46"/>
      <c r="E64" s="3"/>
      <c r="F64" s="4"/>
    </row>
    <row r="65" customHeight="1" spans="1:6">
      <c r="A65" s="60" t="s">
        <v>9</v>
      </c>
      <c r="B65" s="72" t="s">
        <v>33</v>
      </c>
      <c r="C65" s="73" t="s">
        <v>35</v>
      </c>
      <c r="D65" s="46"/>
      <c r="E65" s="3"/>
      <c r="F65" s="4"/>
    </row>
    <row r="66" customHeight="1" spans="1:6">
      <c r="A66" s="64" t="s">
        <v>83</v>
      </c>
      <c r="B66" s="74">
        <v>0.05</v>
      </c>
      <c r="C66" s="75">
        <f>B66*1.021</f>
        <v>0.05105</v>
      </c>
      <c r="D66" s="46"/>
      <c r="E66" s="3"/>
      <c r="F66" s="4"/>
    </row>
    <row r="67" customHeight="1" spans="1:6">
      <c r="A67" s="64" t="s">
        <v>84</v>
      </c>
      <c r="B67" s="74">
        <v>0.1</v>
      </c>
      <c r="C67" s="75">
        <v>97500</v>
      </c>
      <c r="D67" s="46"/>
      <c r="E67" s="3"/>
      <c r="F67" s="4"/>
    </row>
    <row r="68" customHeight="1" spans="1:6">
      <c r="A68" s="64" t="s">
        <v>85</v>
      </c>
      <c r="B68" s="74">
        <v>0.2</v>
      </c>
      <c r="C68" s="75">
        <v>427500</v>
      </c>
      <c r="D68" s="46"/>
      <c r="E68" s="3"/>
      <c r="F68" s="4"/>
    </row>
    <row r="69" customHeight="1" spans="1:6">
      <c r="A69" s="64" t="s">
        <v>86</v>
      </c>
      <c r="B69" s="74">
        <v>0.23</v>
      </c>
      <c r="C69" s="75">
        <v>636000</v>
      </c>
      <c r="D69" s="46"/>
      <c r="E69" s="3"/>
      <c r="F69" s="4"/>
    </row>
    <row r="70" customHeight="1" spans="1:6">
      <c r="A70" s="67" t="s">
        <v>87</v>
      </c>
      <c r="B70" s="76">
        <v>0.33</v>
      </c>
      <c r="C70" s="77">
        <v>1536000</v>
      </c>
      <c r="D70" s="46"/>
      <c r="E70" s="3"/>
      <c r="F70" s="4"/>
    </row>
    <row r="71" ht="4" customHeight="1" spans="1:6">
      <c r="A71" s="22"/>
      <c r="B71" s="44"/>
      <c r="C71" s="45"/>
      <c r="D71" s="46"/>
      <c r="E71" s="3"/>
      <c r="F71" s="4"/>
    </row>
    <row r="72" customHeight="1" spans="1:6">
      <c r="A72" s="78" t="s">
        <v>88</v>
      </c>
      <c r="B72" s="78"/>
      <c r="C72" s="45"/>
      <c r="D72" s="46"/>
      <c r="E72" s="3"/>
      <c r="F72" s="4"/>
    </row>
    <row r="73" customHeight="1" spans="1:6">
      <c r="A73" s="79" t="s">
        <v>89</v>
      </c>
      <c r="B73" s="80">
        <v>0</v>
      </c>
      <c r="C73" s="45"/>
      <c r="D73" s="46"/>
      <c r="E73" s="3"/>
      <c r="F73" s="4"/>
    </row>
    <row r="74" customHeight="1" spans="1:6">
      <c r="A74" s="64" t="s">
        <v>90</v>
      </c>
      <c r="B74" s="81">
        <v>0.1</v>
      </c>
      <c r="C74" s="45"/>
      <c r="D74" s="46"/>
      <c r="E74" s="3"/>
      <c r="F74" s="4"/>
    </row>
    <row r="75" customHeight="1" spans="1:6">
      <c r="A75" s="64" t="s">
        <v>91</v>
      </c>
      <c r="B75" s="81">
        <v>0.9</v>
      </c>
      <c r="C75" s="45"/>
      <c r="D75" s="46"/>
      <c r="E75" s="3"/>
      <c r="F75" s="4"/>
    </row>
    <row r="76" customHeight="1" spans="1:6">
      <c r="A76" s="67" t="s">
        <v>92</v>
      </c>
      <c r="B76" s="82">
        <f>SUM(B73:B75)</f>
        <v>1</v>
      </c>
      <c r="C76" s="45"/>
      <c r="D76" s="46"/>
      <c r="E76" s="3"/>
      <c r="F76" s="4"/>
    </row>
    <row r="77" ht="4" customHeight="1" spans="1:6">
      <c r="A77" s="22"/>
      <c r="B77" s="44"/>
      <c r="C77" s="45"/>
      <c r="D77" s="46"/>
      <c r="E77" s="3"/>
      <c r="F77" s="4"/>
    </row>
    <row r="78" customHeight="1" spans="1:6">
      <c r="A78" s="83" t="s">
        <v>93</v>
      </c>
      <c r="B78" s="84"/>
      <c r="C78" s="85"/>
      <c r="D78" s="86"/>
      <c r="E78" s="87"/>
      <c r="F78" s="4"/>
    </row>
    <row r="79" customHeight="1" spans="1:6">
      <c r="A79" s="88"/>
      <c r="B79" s="89" t="s">
        <v>65</v>
      </c>
      <c r="C79" s="90" t="s">
        <v>90</v>
      </c>
      <c r="D79" s="91" t="s">
        <v>91</v>
      </c>
      <c r="E79" s="92" t="s">
        <v>94</v>
      </c>
      <c r="F79" s="4"/>
    </row>
    <row r="80" customHeight="1" spans="1:6">
      <c r="A80" s="88" t="s">
        <v>95</v>
      </c>
      <c r="B80" s="93">
        <f>C42*0.2/0.9+2000</f>
        <v>22688.8888888889</v>
      </c>
      <c r="C80" s="93">
        <f>(B80-2000)*B74</f>
        <v>2068.88888888889</v>
      </c>
      <c r="D80" s="93">
        <f>(B80-2000)*B75</f>
        <v>18620</v>
      </c>
      <c r="E80" s="94">
        <f>C80+D80</f>
        <v>20688.8888888889</v>
      </c>
      <c r="F80" s="4"/>
    </row>
    <row r="81" ht="3" customHeight="1" spans="1:6">
      <c r="A81" s="95"/>
      <c r="B81" s="96"/>
      <c r="C81" s="97"/>
      <c r="D81" s="97"/>
      <c r="E81" s="98"/>
      <c r="F81" s="4"/>
    </row>
    <row r="82" customHeight="1" spans="1:5">
      <c r="A82" s="99" t="s">
        <v>96</v>
      </c>
      <c r="B82" s="70"/>
      <c r="C82" s="46"/>
      <c r="D82" s="53"/>
      <c r="E82" s="100"/>
    </row>
    <row r="83" customHeight="1" spans="1:5">
      <c r="A83" s="88"/>
      <c r="B83" s="89" t="s">
        <v>65</v>
      </c>
      <c r="C83" s="90" t="s">
        <v>90</v>
      </c>
      <c r="D83" s="91" t="s">
        <v>91</v>
      </c>
      <c r="E83" s="92" t="s">
        <v>94</v>
      </c>
    </row>
    <row r="84" ht="11" customHeight="1" spans="1:5">
      <c r="A84" s="88" t="s">
        <v>95</v>
      </c>
      <c r="B84" s="93">
        <f>D42*0.2/0.9+2000</f>
        <v>41600</v>
      </c>
      <c r="C84" s="93">
        <f>(B84-2000)*B74</f>
        <v>3960</v>
      </c>
      <c r="D84" s="93">
        <f>(B84-2000)*B75</f>
        <v>35640</v>
      </c>
      <c r="E84" s="94">
        <f>C84+D84</f>
        <v>39600</v>
      </c>
    </row>
    <row r="85" hidden="1" customHeight="1" spans="1:5">
      <c r="A85" s="101"/>
      <c r="B85" s="102"/>
      <c r="C85" s="102"/>
      <c r="D85" s="102"/>
      <c r="E85" s="103"/>
    </row>
    <row r="86" customHeight="1" spans="1:5">
      <c r="A86" s="99" t="s">
        <v>97</v>
      </c>
      <c r="B86" s="70"/>
      <c r="C86" s="46"/>
      <c r="D86" s="53"/>
      <c r="E86" s="100"/>
    </row>
    <row r="87" customHeight="1" spans="1:5">
      <c r="A87" s="88"/>
      <c r="B87" s="89" t="s">
        <v>65</v>
      </c>
      <c r="C87" s="90" t="s">
        <v>90</v>
      </c>
      <c r="D87" s="91" t="s">
        <v>91</v>
      </c>
      <c r="E87" s="92" t="s">
        <v>94</v>
      </c>
    </row>
    <row r="88" customHeight="1" spans="1:5">
      <c r="A88" s="104" t="s">
        <v>95</v>
      </c>
      <c r="B88" s="105">
        <f>E42*0.2/0.9+2000</f>
        <v>70088.8888888889</v>
      </c>
      <c r="C88" s="105">
        <f>(B88-2000)*B74</f>
        <v>6808.88888888889</v>
      </c>
      <c r="D88" s="105">
        <f>(B88-2000)*B75</f>
        <v>61280</v>
      </c>
      <c r="E88" s="106">
        <f>C88+D88</f>
        <v>68088.8888888889</v>
      </c>
    </row>
    <row r="89" customHeight="1"/>
    <row r="90" customHeight="1"/>
    <row r="91" customHeight="1"/>
  </sheetData>
  <mergeCells count="12">
    <mergeCell ref="B56:C56"/>
    <mergeCell ref="B57:C57"/>
    <mergeCell ref="B58:C58"/>
    <mergeCell ref="B59:C59"/>
    <mergeCell ref="B60:C60"/>
    <mergeCell ref="B61:C61"/>
    <mergeCell ref="B62:C62"/>
    <mergeCell ref="A64:B64"/>
    <mergeCell ref="A72:B72"/>
    <mergeCell ref="A78:B78"/>
    <mergeCell ref="A82:B82"/>
    <mergeCell ref="A86:B86"/>
  </mergeCells>
  <printOptions horizontalCentered="1" verticalCentered="1"/>
  <pageMargins left="0.551181102362205" right="0.47244094488189" top="0.354330708661417" bottom="0.196850393700787" header="0.15748031496063" footer="0.15748031496063"/>
  <pageSetup paperSize="9" scale="87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ワンストップ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kenta</cp:lastModifiedBy>
  <dcterms:created xsi:type="dcterms:W3CDTF">2006-09-16T00:00:00Z</dcterms:created>
  <dcterms:modified xsi:type="dcterms:W3CDTF">2021-06-01T11:28:52Z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